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  <sheet name="Instructions" sheetId="2" state="visible" r:id="rId2"/>
    <sheet name="Assumptions" sheetId="3" state="visible" r:id="rId3"/>
    <sheet name="Model" sheetId="4" state="visible" r:id="rId4"/>
    <sheet name="Sensitivity" sheetId="5" state="visible" r:id="rId5"/>
    <sheet name="Output" sheetId="6" state="visible" r:id="rId6"/>
    <sheet name="Self-Check" sheetId="7" state="visible" r:id="rId7"/>
    <sheet name="Solution Notes" sheetId="8" state="visible" r:id="rId8"/>
  </sheets>
  <definedNames/>
  <calcPr calcId="124519" fullCalcOnLoad="1" iterate="1" iterateCount="100" iterateDelta="0.000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0x"/>
    <numFmt numFmtId="166" formatCode="yyyy-mm-dd h:mm:ss"/>
    <numFmt numFmtId="167" formatCode="m/d/yyyy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165" fontId="4" fillId="0" borderId="0" pivotButton="0" quotePrefix="0" xfId="0"/>
    <xf numFmtId="3" fontId="4" fillId="0" borderId="0" pivotButton="0" quotePrefix="0" xfId="0"/>
    <xf numFmtId="167" fontId="4" fillId="0" borderId="0" pivotButton="0" quotePrefix="0" xfId="0"/>
    <xf numFmtId="10" fontId="3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3" fillId="0" borderId="0" pivotButton="0" quotePrefix="0" xfId="0"/>
    <xf numFmtId="164" fontId="5" fillId="0" borderId="0" pivotButton="0" quotePrefix="0" xfId="0"/>
    <xf numFmtId="164" fontId="3" fillId="0" borderId="0" pivotButton="0" quotePrefix="0" xfId="0"/>
    <xf numFmtId="0" fontId="7" fillId="4" borderId="0" applyAlignment="1" pivotButton="0" quotePrefix="0" xfId="0">
      <alignment horizontal="center" vertical="center" wrapText="1"/>
    </xf>
    <xf numFmtId="167" fontId="5" fillId="0" borderId="0" pivotButton="0" quotePrefix="0" xfId="0"/>
    <xf numFmtId="167" fontId="3" fillId="0" borderId="0" pivotButton="0" quotePrefix="0" xfId="0"/>
    <xf numFmtId="1" fontId="3" fillId="0" borderId="0" pivotButton="0" quotePrefix="0" xfId="0"/>
    <xf numFmtId="0" fontId="4" fillId="0" borderId="0" pivotButton="0" quotePrefix="0" xfId="0"/>
    <xf numFmtId="0" fontId="7" fillId="4" borderId="0" applyAlignment="1" pivotButton="0" quotePrefix="0" xfId="0">
      <alignment horizontal="center"/>
    </xf>
    <xf numFmtId="10" fontId="4" fillId="0" borderId="0" applyAlignment="1" pivotButton="0" quotePrefix="0" xfId="0">
      <alignment horizontal="center"/>
    </xf>
    <xf numFmtId="165" fontId="3" fillId="0" borderId="0" pivotButton="0" quotePrefix="0" xfId="0"/>
    <xf numFmtId="0" fontId="5" fillId="0" borderId="0" pivotButton="0" quotePrefix="0" xfId="0"/>
    <xf numFmtId="10" fontId="5" fillId="0" borderId="0" pivotButton="0" quotePrefix="0" xfId="0"/>
    <xf numFmtId="0" fontId="3" fillId="0" borderId="0" applyAlignment="1" pivotButton="0" quotePrefix="0" xfId="0">
      <alignment horizontal="center"/>
    </xf>
    <xf numFmtId="4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Module 07 — Capstone: Full Underwrite</t>
        </is>
      </c>
    </row>
    <row r="2">
      <c r="A2" s="2" t="inlineStr">
        <is>
          <t>Goal: from a term sheet + T-12 + rent roll, produce a complete underwrite — sized loan (binding constraint shown), monthly Actual/360 cash flows with fees and payoff, full credit metrics, a 2-variable sensitivity, a scenario toggle, a Checks block, and a one-page credit-memo Output tab.</t>
        </is>
      </c>
    </row>
    <row r="3">
      <c r="A3" s="3" t="inlineStr">
        <is>
          <t>Deal (illustrative): value-add light-industrial; senior bridge loan. As-is value $52,000,000; as-stabilized value $68,000,000; total project cost $47,000,000. Sizing: 65% LTC; 65% as-stabilized LTV; 1.20x DSCR on stabilized NOI at the note rate (I/O); 8.5% debt-yield floor. Rate = 1-mo Term SOFR 4.30% + 325 bps, floating, Actual/360. Term 36 months, full-term I/O. Origination 1.00%, exit 0.50%. In-place NOI $2,900,000. Payoff at month 36 at par + exit fee. T-12 / rent-roll summary on the Assumptions tab.</t>
        </is>
      </c>
    </row>
    <row r="4">
      <c r="A4" s="3" t="inlineStr">
        <is>
          <t>Estimated time: 90-120 minutes. This is the graded test — no worked EXAMPLE.</t>
        </is>
      </c>
    </row>
    <row r="5">
      <c r="A5" s="3" t="inlineStr"/>
    </row>
    <row r="6">
      <c r="A6" s="2" t="inlineStr">
        <is>
          <t>Tasks (build on the Model and Output tabs):</t>
        </is>
      </c>
    </row>
    <row r="7">
      <c r="A7" s="3" t="inlineStr">
        <is>
          <t>1. NOI: build the stabilized NOI from the rent-roll / T-12 inputs (GPR - vacancy + other income - opex).</t>
        </is>
      </c>
    </row>
    <row r="8">
      <c r="A8" s="3" t="inlineStr">
        <is>
          <t>2. SIZING: compute the loan under each of the four constraints and take the MIN; show which binds.</t>
        </is>
      </c>
    </row>
    <row r="9">
      <c r="A9" s="3" t="inlineStr">
        <is>
          <t>3. SCHEDULE: monthly Actual/360 interest on the IO balance; principal repaid at month 36; lender cash-flow column with origination and exit fees.</t>
        </is>
      </c>
    </row>
    <row r="10">
      <c r="A10" s="3" t="inlineStr">
        <is>
          <t>4. METRICS: DSCR (in-place &amp; stabilized), debt yield (both), LTV, LTC, lender XIRR, MOIC.</t>
        </is>
      </c>
    </row>
    <row r="11">
      <c r="A11" s="3" t="inlineStr">
        <is>
          <t>5. SENSITIVITY: 2-variable grid of lender gross yield (SOFR x exit month).</t>
        </is>
      </c>
    </row>
    <row r="12">
      <c r="A12" s="3" t="inlineStr">
        <is>
          <t>6. CHECKS + MEMO: a passing Checks block and a one-page credit memo on the Output tab.</t>
        </is>
      </c>
    </row>
    <row r="13">
      <c r="A13" s="3" t="inlineStr"/>
    </row>
    <row r="14">
      <c r="A14" s="2" t="inlineStr">
        <is>
          <t>Open Self-Check: the headline outputs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4" t="inlineStr">
        <is>
          <t>Module 07 — Capstone: Assumptions (illustrative)</t>
        </is>
      </c>
    </row>
    <row r="5">
      <c r="A5" s="5" t="inlineStr">
        <is>
          <t>VALUE &amp; COST</t>
        </is>
      </c>
      <c r="B5" s="6" t="n"/>
    </row>
    <row r="6">
      <c r="A6" s="7" t="inlineStr">
        <is>
          <t>As-is value</t>
        </is>
      </c>
      <c r="B6" s="8" t="n">
        <v>52000000</v>
      </c>
    </row>
    <row r="7">
      <c r="A7" s="7" t="inlineStr">
        <is>
          <t>As-stabilized value</t>
        </is>
      </c>
      <c r="B7" s="8" t="n">
        <v>68000000</v>
      </c>
    </row>
    <row r="8">
      <c r="A8" s="7" t="inlineStr">
        <is>
          <t>Total project cost</t>
        </is>
      </c>
      <c r="B8" s="8" t="n">
        <v>47000000</v>
      </c>
    </row>
    <row r="9">
      <c r="A9" s="5" t="inlineStr">
        <is>
          <t>T-12 / RENT ROLL</t>
        </is>
      </c>
      <c r="B9" s="6" t="n"/>
    </row>
    <row r="10">
      <c r="A10" s="7" t="inlineStr">
        <is>
          <t>Gross potential rent</t>
        </is>
      </c>
      <c r="B10" s="8" t="n">
        <v>4800000</v>
      </c>
    </row>
    <row r="11">
      <c r="A11" s="7" t="inlineStr">
        <is>
          <t>Vacancy / credit loss %</t>
        </is>
      </c>
      <c r="B11" s="9" t="n">
        <v>0.06</v>
      </c>
    </row>
    <row r="12">
      <c r="A12" s="7" t="inlineStr">
        <is>
          <t>Other income</t>
        </is>
      </c>
      <c r="B12" s="8" t="n">
        <v>180000</v>
      </c>
    </row>
    <row r="13">
      <c r="A13" s="7" t="inlineStr">
        <is>
          <t>Opex % of EGI</t>
        </is>
      </c>
      <c r="B13" s="9" t="n">
        <v>0.32</v>
      </c>
    </row>
    <row r="14">
      <c r="A14" s="7" t="inlineStr">
        <is>
          <t>In-place NOI</t>
        </is>
      </c>
      <c r="B14" s="8" t="n">
        <v>2900000</v>
      </c>
    </row>
    <row r="15">
      <c r="A15" s="5" t="inlineStr">
        <is>
          <t>SIZING</t>
        </is>
      </c>
      <c r="B15" s="6" t="n"/>
    </row>
    <row r="16">
      <c r="A16" s="7" t="inlineStr">
        <is>
          <t>Max LTC %</t>
        </is>
      </c>
      <c r="B16" s="9" t="n">
        <v>0.65</v>
      </c>
    </row>
    <row r="17">
      <c r="A17" s="7" t="inlineStr">
        <is>
          <t>Max LTV %</t>
        </is>
      </c>
      <c r="B17" s="9" t="n">
        <v>0.65</v>
      </c>
    </row>
    <row r="18">
      <c r="A18" s="7" t="inlineStr">
        <is>
          <t>Min DSCR</t>
        </is>
      </c>
      <c r="B18" s="10" t="n">
        <v>1.2</v>
      </c>
    </row>
    <row r="19">
      <c r="A19" s="7" t="inlineStr">
        <is>
          <t>Debt-yield floor</t>
        </is>
      </c>
      <c r="B19" s="9" t="n">
        <v>0.08500000000000001</v>
      </c>
    </row>
    <row r="20">
      <c r="A20" s="5" t="inlineStr">
        <is>
          <t>RATE &amp; TERMS</t>
        </is>
      </c>
      <c r="B20" s="6" t="n"/>
    </row>
    <row r="21">
      <c r="A21" s="7" t="inlineStr">
        <is>
          <t>1-mo Term SOFR</t>
        </is>
      </c>
      <c r="B21" s="9" t="n">
        <v>0.043</v>
      </c>
    </row>
    <row r="22">
      <c r="A22" s="7" t="inlineStr">
        <is>
          <t>Spread</t>
        </is>
      </c>
      <c r="B22" s="9" t="n">
        <v>0.0325</v>
      </c>
    </row>
    <row r="23">
      <c r="A23" s="7" t="inlineStr">
        <is>
          <t>Term (months)</t>
        </is>
      </c>
      <c r="B23" s="11" t="n">
        <v>36</v>
      </c>
    </row>
    <row r="24">
      <c r="A24" s="7" t="inlineStr">
        <is>
          <t>Origination fee %</t>
        </is>
      </c>
      <c r="B24" s="9" t="n">
        <v>0.01</v>
      </c>
    </row>
    <row r="25">
      <c r="A25" s="7" t="inlineStr">
        <is>
          <t>Exit fee %</t>
        </is>
      </c>
      <c r="B25" s="9" t="n">
        <v>0.005</v>
      </c>
    </row>
    <row r="26">
      <c r="A26" s="7" t="inlineStr">
        <is>
          <t>Close date</t>
        </is>
      </c>
      <c r="B26" s="12" t="n">
        <v>46023</v>
      </c>
    </row>
    <row r="28">
      <c r="A28" s="5" t="inlineStr">
        <is>
          <t>DERIVED</t>
        </is>
      </c>
      <c r="B28" s="6" t="n"/>
    </row>
    <row r="29">
      <c r="A29" s="7" t="inlineStr">
        <is>
          <t>All-in rate</t>
        </is>
      </c>
      <c r="B29" s="13">
        <f>Assumptions!$B$21+Assumptions!$B$22</f>
        <v/>
      </c>
    </row>
    <row r="31">
      <c r="A31" s="14" t="inlineStr">
        <is>
          <t>COLOR LEGEND</t>
        </is>
      </c>
    </row>
    <row r="32">
      <c r="A32" s="15" t="inlineStr">
        <is>
          <t>Blue = input / assumption</t>
        </is>
      </c>
    </row>
    <row r="33">
      <c r="A33" s="16" t="inlineStr">
        <is>
          <t>Black = formula / calculation</t>
        </is>
      </c>
    </row>
    <row r="34">
      <c r="A34" s="17" t="inlineStr">
        <is>
          <t>Green = link to another sheet</t>
        </is>
      </c>
    </row>
    <row r="35">
      <c r="A35" s="18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8" customWidth="1" min="3" max="3"/>
    <col width="14" customWidth="1" min="4" max="4"/>
    <col width="14" customWidth="1" min="5" max="5"/>
    <col width="7" customWidth="1" min="6" max="6"/>
    <col width="14" customWidth="1" min="7" max="7"/>
    <col width="14" customWidth="1" min="8" max="8"/>
    <col width="16" customWidth="1" min="9" max="9"/>
  </cols>
  <sheetData>
    <row r="1" ht="22" customHeight="1">
      <c r="A1" s="4" t="inlineStr">
        <is>
          <t>Model — NOI, sizing, Actual/360 schedule</t>
        </is>
      </c>
    </row>
    <row r="4">
      <c r="A4" s="5" t="inlineStr">
        <is>
          <t>STABILIZED NOI</t>
        </is>
      </c>
      <c r="B4" s="6" t="n"/>
      <c r="D4" s="5" t="inlineStr">
        <is>
          <t>LOAN SIZING</t>
        </is>
      </c>
      <c r="E4" s="6" t="n"/>
      <c r="F4" s="6" t="n"/>
    </row>
    <row r="5">
      <c r="A5" s="19" t="inlineStr">
        <is>
          <t>Gross potential rent</t>
        </is>
      </c>
      <c r="B5" s="20">
        <f>Assumptions!$B$10</f>
        <v/>
      </c>
      <c r="D5" s="19" t="inlineStr">
        <is>
          <t>Max @ LTC</t>
        </is>
      </c>
      <c r="E5" s="21">
        <f>Assumptions!$B$16*Assumptions!$B$8</f>
        <v/>
      </c>
    </row>
    <row r="6">
      <c r="A6" s="19" t="inlineStr">
        <is>
          <t>Less: vacancy/credit loss</t>
        </is>
      </c>
      <c r="B6" s="21">
        <f>-B5*Assumptions!$B$11</f>
        <v/>
      </c>
      <c r="D6" s="19" t="inlineStr">
        <is>
          <t>Max @ LTV</t>
        </is>
      </c>
      <c r="E6" s="21">
        <f>Assumptions!$B$17*Assumptions!$B$7</f>
        <v/>
      </c>
    </row>
    <row r="7">
      <c r="A7" s="19" t="inlineStr">
        <is>
          <t>Plus: other income</t>
        </is>
      </c>
      <c r="B7" s="20">
        <f>Assumptions!$B$12</f>
        <v/>
      </c>
      <c r="D7" s="19" t="inlineStr">
        <is>
          <t>Max @ DSCR</t>
        </is>
      </c>
      <c r="E7" s="21">
        <f>(B10/Assumptions!$B$18)/Assumptions!$B$29</f>
        <v/>
      </c>
    </row>
    <row r="8">
      <c r="A8" s="7" t="inlineStr">
        <is>
          <t>Effective gross income</t>
        </is>
      </c>
      <c r="B8" s="21">
        <f>B5+B6+B7</f>
        <v/>
      </c>
      <c r="D8" s="19" t="inlineStr">
        <is>
          <t>Max @ debt yield</t>
        </is>
      </c>
      <c r="E8" s="21">
        <f>B10/Assumptions!$B$19</f>
        <v/>
      </c>
    </row>
    <row r="9">
      <c r="A9" s="19" t="inlineStr">
        <is>
          <t>Less: operating expenses</t>
        </is>
      </c>
      <c r="B9" s="21">
        <f>-B8*Assumptions!$B$13</f>
        <v/>
      </c>
      <c r="D9" s="7" t="inlineStr">
        <is>
          <t>Loan (binding MIN)</t>
        </is>
      </c>
      <c r="E9" s="21">
        <f>MIN(E5,E6,E7,E8)</f>
        <v/>
      </c>
    </row>
    <row r="10">
      <c r="A10" s="7" t="inlineStr">
        <is>
          <t>Stabilized NOI</t>
        </is>
      </c>
      <c r="B10" s="21">
        <f>B8+B9</f>
        <v/>
      </c>
      <c r="D10" s="19" t="inlineStr">
        <is>
          <t>Binding constraint</t>
        </is>
      </c>
      <c r="E10" s="19">
        <f>IFERROR(INDEX({"LTC";"LTV";"DSCR";"Debt yield"},MATCH(E9,E5:E8,0)),"")</f>
        <v/>
      </c>
    </row>
    <row r="13">
      <c r="A13" s="22" t="inlineStr">
        <is>
          <t>Month</t>
        </is>
      </c>
      <c r="B13" s="22" t="inlineStr">
        <is>
          <t>Date</t>
        </is>
      </c>
      <c r="C13" s="22" t="inlineStr">
        <is>
          <t>Days</t>
        </is>
      </c>
      <c r="D13" s="22" t="inlineStr">
        <is>
          <t>Beg Bal</t>
        </is>
      </c>
      <c r="E13" s="22" t="inlineStr">
        <is>
          <t>Interest</t>
        </is>
      </c>
      <c r="F13" s="22" t="inlineStr">
        <is>
          <t>IO flag</t>
        </is>
      </c>
      <c r="G13" s="22" t="inlineStr">
        <is>
          <t>Princ. repaid</t>
        </is>
      </c>
      <c r="H13" s="22" t="inlineStr">
        <is>
          <t>End Bal</t>
        </is>
      </c>
      <c r="I13" s="22" t="inlineStr">
        <is>
          <t>Lender CF</t>
        </is>
      </c>
    </row>
    <row r="14">
      <c r="A14" s="19" t="n">
        <v>0</v>
      </c>
      <c r="B14" s="23">
        <f>Assumptions!$B$26</f>
        <v/>
      </c>
      <c r="D14" s="21">
        <f>E9</f>
        <v/>
      </c>
      <c r="I14" s="21">
        <f>-(E9-E9*Assumptions!$B$24)</f>
        <v/>
      </c>
    </row>
    <row r="15">
      <c r="A15" s="19" t="n">
        <v>1</v>
      </c>
      <c r="B15" s="24">
        <f>EDATE(Assumptions!$B$26,A15)</f>
        <v/>
      </c>
      <c r="C15" s="25">
        <f>B15-B14</f>
        <v/>
      </c>
      <c r="D15" s="21">
        <f>D14</f>
        <v/>
      </c>
      <c r="E15" s="21">
        <f>D15*Assumptions!$B$29*C15/360*F15</f>
        <v/>
      </c>
      <c r="F15" s="26" t="n">
        <v>1</v>
      </c>
      <c r="G15" s="21">
        <f>IF(A15=Assumptions!$B$23,D15,0)</f>
        <v/>
      </c>
      <c r="H15" s="21">
        <f>D15-G15</f>
        <v/>
      </c>
      <c r="I15" s="21">
        <f>E15+G15+IF(A15=Assumptions!$B$23,E9*Assumptions!$B$25,0)</f>
        <v/>
      </c>
    </row>
    <row r="16">
      <c r="A16" s="19" t="n">
        <v>2</v>
      </c>
      <c r="B16" s="24">
        <f>EDATE(Assumptions!$B$26,A16)</f>
        <v/>
      </c>
      <c r="C16" s="25">
        <f>B16-B15</f>
        <v/>
      </c>
      <c r="D16" s="21">
        <f>H15</f>
        <v/>
      </c>
      <c r="E16" s="21">
        <f>D16*Assumptions!$B$29*C16/360*F16</f>
        <v/>
      </c>
      <c r="F16" s="26" t="n">
        <v>1</v>
      </c>
      <c r="G16" s="21">
        <f>IF(A16=Assumptions!$B$23,D16,0)</f>
        <v/>
      </c>
      <c r="H16" s="21">
        <f>D16-G16</f>
        <v/>
      </c>
      <c r="I16" s="21">
        <f>E16+G16+IF(A16=Assumptions!$B$23,E9*Assumptions!$B$25,0)</f>
        <v/>
      </c>
    </row>
    <row r="17">
      <c r="A17" s="19" t="n">
        <v>3</v>
      </c>
      <c r="B17" s="24">
        <f>EDATE(Assumptions!$B$26,A17)</f>
        <v/>
      </c>
      <c r="C17" s="25">
        <f>B17-B16</f>
        <v/>
      </c>
      <c r="D17" s="21">
        <f>H16</f>
        <v/>
      </c>
      <c r="E17" s="21">
        <f>D17*Assumptions!$B$29*C17/360*F17</f>
        <v/>
      </c>
      <c r="F17" s="26" t="n">
        <v>1</v>
      </c>
      <c r="G17" s="21">
        <f>IF(A17=Assumptions!$B$23,D17,0)</f>
        <v/>
      </c>
      <c r="H17" s="21">
        <f>D17-G17</f>
        <v/>
      </c>
      <c r="I17" s="21">
        <f>E17+G17+IF(A17=Assumptions!$B$23,E9*Assumptions!$B$25,0)</f>
        <v/>
      </c>
    </row>
    <row r="18">
      <c r="A18" s="19" t="n">
        <v>4</v>
      </c>
      <c r="B18" s="24">
        <f>EDATE(Assumptions!$B$26,A18)</f>
        <v/>
      </c>
      <c r="C18" s="25">
        <f>B18-B17</f>
        <v/>
      </c>
      <c r="D18" s="21">
        <f>H17</f>
        <v/>
      </c>
      <c r="E18" s="21">
        <f>D18*Assumptions!$B$29*C18/360*F18</f>
        <v/>
      </c>
      <c r="F18" s="26" t="n">
        <v>1</v>
      </c>
      <c r="G18" s="21">
        <f>IF(A18=Assumptions!$B$23,D18,0)</f>
        <v/>
      </c>
      <c r="H18" s="21">
        <f>D18-G18</f>
        <v/>
      </c>
      <c r="I18" s="21">
        <f>E18+G18+IF(A18=Assumptions!$B$23,E9*Assumptions!$B$25,0)</f>
        <v/>
      </c>
    </row>
    <row r="19">
      <c r="A19" s="19" t="n">
        <v>5</v>
      </c>
      <c r="B19" s="24">
        <f>EDATE(Assumptions!$B$26,A19)</f>
        <v/>
      </c>
      <c r="C19" s="25">
        <f>B19-B18</f>
        <v/>
      </c>
      <c r="D19" s="21">
        <f>H18</f>
        <v/>
      </c>
      <c r="E19" s="21">
        <f>D19*Assumptions!$B$29*C19/360*F19</f>
        <v/>
      </c>
      <c r="F19" s="26" t="n">
        <v>1</v>
      </c>
      <c r="G19" s="21">
        <f>IF(A19=Assumptions!$B$23,D19,0)</f>
        <v/>
      </c>
      <c r="H19" s="21">
        <f>D19-G19</f>
        <v/>
      </c>
      <c r="I19" s="21">
        <f>E19+G19+IF(A19=Assumptions!$B$23,E9*Assumptions!$B$25,0)</f>
        <v/>
      </c>
    </row>
    <row r="20">
      <c r="A20" s="19" t="n">
        <v>6</v>
      </c>
      <c r="B20" s="24">
        <f>EDATE(Assumptions!$B$26,A20)</f>
        <v/>
      </c>
      <c r="C20" s="25">
        <f>B20-B19</f>
        <v/>
      </c>
      <c r="D20" s="21">
        <f>H19</f>
        <v/>
      </c>
      <c r="E20" s="21">
        <f>D20*Assumptions!$B$29*C20/360*F20</f>
        <v/>
      </c>
      <c r="F20" s="26" t="n">
        <v>1</v>
      </c>
      <c r="G20" s="21">
        <f>IF(A20=Assumptions!$B$23,D20,0)</f>
        <v/>
      </c>
      <c r="H20" s="21">
        <f>D20-G20</f>
        <v/>
      </c>
      <c r="I20" s="21">
        <f>E20+G20+IF(A20=Assumptions!$B$23,E9*Assumptions!$B$25,0)</f>
        <v/>
      </c>
    </row>
    <row r="21">
      <c r="A21" s="19" t="n">
        <v>7</v>
      </c>
      <c r="B21" s="24">
        <f>EDATE(Assumptions!$B$26,A21)</f>
        <v/>
      </c>
      <c r="C21" s="25">
        <f>B21-B20</f>
        <v/>
      </c>
      <c r="D21" s="21">
        <f>H20</f>
        <v/>
      </c>
      <c r="E21" s="21">
        <f>D21*Assumptions!$B$29*C21/360*F21</f>
        <v/>
      </c>
      <c r="F21" s="26" t="n">
        <v>1</v>
      </c>
      <c r="G21" s="21">
        <f>IF(A21=Assumptions!$B$23,D21,0)</f>
        <v/>
      </c>
      <c r="H21" s="21">
        <f>D21-G21</f>
        <v/>
      </c>
      <c r="I21" s="21">
        <f>E21+G21+IF(A21=Assumptions!$B$23,E9*Assumptions!$B$25,0)</f>
        <v/>
      </c>
    </row>
    <row r="22">
      <c r="A22" s="19" t="n">
        <v>8</v>
      </c>
      <c r="B22" s="24">
        <f>EDATE(Assumptions!$B$26,A22)</f>
        <v/>
      </c>
      <c r="C22" s="25">
        <f>B22-B21</f>
        <v/>
      </c>
      <c r="D22" s="21">
        <f>H21</f>
        <v/>
      </c>
      <c r="E22" s="21">
        <f>D22*Assumptions!$B$29*C22/360*F22</f>
        <v/>
      </c>
      <c r="F22" s="26" t="n">
        <v>1</v>
      </c>
      <c r="G22" s="21">
        <f>IF(A22=Assumptions!$B$23,D22,0)</f>
        <v/>
      </c>
      <c r="H22" s="21">
        <f>D22-G22</f>
        <v/>
      </c>
      <c r="I22" s="21">
        <f>E22+G22+IF(A22=Assumptions!$B$23,E9*Assumptions!$B$25,0)</f>
        <v/>
      </c>
    </row>
    <row r="23">
      <c r="A23" s="19" t="n">
        <v>9</v>
      </c>
      <c r="B23" s="24">
        <f>EDATE(Assumptions!$B$26,A23)</f>
        <v/>
      </c>
      <c r="C23" s="25">
        <f>B23-B22</f>
        <v/>
      </c>
      <c r="D23" s="21">
        <f>H22</f>
        <v/>
      </c>
      <c r="E23" s="21">
        <f>D23*Assumptions!$B$29*C23/360*F23</f>
        <v/>
      </c>
      <c r="F23" s="26" t="n">
        <v>1</v>
      </c>
      <c r="G23" s="21">
        <f>IF(A23=Assumptions!$B$23,D23,0)</f>
        <v/>
      </c>
      <c r="H23" s="21">
        <f>D23-G23</f>
        <v/>
      </c>
      <c r="I23" s="21">
        <f>E23+G23+IF(A23=Assumptions!$B$23,E9*Assumptions!$B$25,0)</f>
        <v/>
      </c>
    </row>
    <row r="24">
      <c r="A24" s="19" t="n">
        <v>10</v>
      </c>
      <c r="B24" s="24">
        <f>EDATE(Assumptions!$B$26,A24)</f>
        <v/>
      </c>
      <c r="C24" s="25">
        <f>B24-B23</f>
        <v/>
      </c>
      <c r="D24" s="21">
        <f>H23</f>
        <v/>
      </c>
      <c r="E24" s="21">
        <f>D24*Assumptions!$B$29*C24/360*F24</f>
        <v/>
      </c>
      <c r="F24" s="26" t="n">
        <v>1</v>
      </c>
      <c r="G24" s="21">
        <f>IF(A24=Assumptions!$B$23,D24,0)</f>
        <v/>
      </c>
      <c r="H24" s="21">
        <f>D24-G24</f>
        <v/>
      </c>
      <c r="I24" s="21">
        <f>E24+G24+IF(A24=Assumptions!$B$23,E9*Assumptions!$B$25,0)</f>
        <v/>
      </c>
    </row>
    <row r="25">
      <c r="A25" s="19" t="n">
        <v>11</v>
      </c>
      <c r="B25" s="24">
        <f>EDATE(Assumptions!$B$26,A25)</f>
        <v/>
      </c>
      <c r="C25" s="25">
        <f>B25-B24</f>
        <v/>
      </c>
      <c r="D25" s="21">
        <f>H24</f>
        <v/>
      </c>
      <c r="E25" s="21">
        <f>D25*Assumptions!$B$29*C25/360*F25</f>
        <v/>
      </c>
      <c r="F25" s="26" t="n">
        <v>1</v>
      </c>
      <c r="G25" s="21">
        <f>IF(A25=Assumptions!$B$23,D25,0)</f>
        <v/>
      </c>
      <c r="H25" s="21">
        <f>D25-G25</f>
        <v/>
      </c>
      <c r="I25" s="21">
        <f>E25+G25+IF(A25=Assumptions!$B$23,E9*Assumptions!$B$25,0)</f>
        <v/>
      </c>
    </row>
    <row r="26">
      <c r="A26" s="19" t="n">
        <v>12</v>
      </c>
      <c r="B26" s="24">
        <f>EDATE(Assumptions!$B$26,A26)</f>
        <v/>
      </c>
      <c r="C26" s="25">
        <f>B26-B25</f>
        <v/>
      </c>
      <c r="D26" s="21">
        <f>H25</f>
        <v/>
      </c>
      <c r="E26" s="21">
        <f>D26*Assumptions!$B$29*C26/360*F26</f>
        <v/>
      </c>
      <c r="F26" s="26" t="n">
        <v>1</v>
      </c>
      <c r="G26" s="21">
        <f>IF(A26=Assumptions!$B$23,D26,0)</f>
        <v/>
      </c>
      <c r="H26" s="21">
        <f>D26-G26</f>
        <v/>
      </c>
      <c r="I26" s="21">
        <f>E26+G26+IF(A26=Assumptions!$B$23,E9*Assumptions!$B$25,0)</f>
        <v/>
      </c>
    </row>
    <row r="27">
      <c r="A27" s="19" t="n">
        <v>13</v>
      </c>
      <c r="B27" s="24">
        <f>EDATE(Assumptions!$B$26,A27)</f>
        <v/>
      </c>
      <c r="C27" s="25">
        <f>B27-B26</f>
        <v/>
      </c>
      <c r="D27" s="21">
        <f>H26</f>
        <v/>
      </c>
      <c r="E27" s="21">
        <f>D27*Assumptions!$B$29*C27/360*F27</f>
        <v/>
      </c>
      <c r="F27" s="26" t="n">
        <v>1</v>
      </c>
      <c r="G27" s="21">
        <f>IF(A27=Assumptions!$B$23,D27,0)</f>
        <v/>
      </c>
      <c r="H27" s="21">
        <f>D27-G27</f>
        <v/>
      </c>
      <c r="I27" s="21">
        <f>E27+G27+IF(A27=Assumptions!$B$23,E9*Assumptions!$B$25,0)</f>
        <v/>
      </c>
    </row>
    <row r="28">
      <c r="A28" s="19" t="n">
        <v>14</v>
      </c>
      <c r="B28" s="24">
        <f>EDATE(Assumptions!$B$26,A28)</f>
        <v/>
      </c>
      <c r="C28" s="25">
        <f>B28-B27</f>
        <v/>
      </c>
      <c r="D28" s="21">
        <f>H27</f>
        <v/>
      </c>
      <c r="E28" s="21">
        <f>D28*Assumptions!$B$29*C28/360*F28</f>
        <v/>
      </c>
      <c r="F28" s="26" t="n">
        <v>1</v>
      </c>
      <c r="G28" s="21">
        <f>IF(A28=Assumptions!$B$23,D28,0)</f>
        <v/>
      </c>
      <c r="H28" s="21">
        <f>D28-G28</f>
        <v/>
      </c>
      <c r="I28" s="21">
        <f>E28+G28+IF(A28=Assumptions!$B$23,E9*Assumptions!$B$25,0)</f>
        <v/>
      </c>
    </row>
    <row r="29">
      <c r="A29" s="19" t="n">
        <v>15</v>
      </c>
      <c r="B29" s="24">
        <f>EDATE(Assumptions!$B$26,A29)</f>
        <v/>
      </c>
      <c r="C29" s="25">
        <f>B29-B28</f>
        <v/>
      </c>
      <c r="D29" s="21">
        <f>H28</f>
        <v/>
      </c>
      <c r="E29" s="21">
        <f>D29*Assumptions!$B$29*C29/360*F29</f>
        <v/>
      </c>
      <c r="F29" s="26" t="n">
        <v>1</v>
      </c>
      <c r="G29" s="21">
        <f>IF(A29=Assumptions!$B$23,D29,0)</f>
        <v/>
      </c>
      <c r="H29" s="21">
        <f>D29-G29</f>
        <v/>
      </c>
      <c r="I29" s="21">
        <f>E29+G29+IF(A29=Assumptions!$B$23,E9*Assumptions!$B$25,0)</f>
        <v/>
      </c>
    </row>
    <row r="30">
      <c r="A30" s="19" t="n">
        <v>16</v>
      </c>
      <c r="B30" s="24">
        <f>EDATE(Assumptions!$B$26,A30)</f>
        <v/>
      </c>
      <c r="C30" s="25">
        <f>B30-B29</f>
        <v/>
      </c>
      <c r="D30" s="21">
        <f>H29</f>
        <v/>
      </c>
      <c r="E30" s="21">
        <f>D30*Assumptions!$B$29*C30/360*F30</f>
        <v/>
      </c>
      <c r="F30" s="26" t="n">
        <v>1</v>
      </c>
      <c r="G30" s="21">
        <f>IF(A30=Assumptions!$B$23,D30,0)</f>
        <v/>
      </c>
      <c r="H30" s="21">
        <f>D30-G30</f>
        <v/>
      </c>
      <c r="I30" s="21">
        <f>E30+G30+IF(A30=Assumptions!$B$23,E9*Assumptions!$B$25,0)</f>
        <v/>
      </c>
    </row>
    <row r="31">
      <c r="A31" s="19" t="n">
        <v>17</v>
      </c>
      <c r="B31" s="24">
        <f>EDATE(Assumptions!$B$26,A31)</f>
        <v/>
      </c>
      <c r="C31" s="25">
        <f>B31-B30</f>
        <v/>
      </c>
      <c r="D31" s="21">
        <f>H30</f>
        <v/>
      </c>
      <c r="E31" s="21">
        <f>D31*Assumptions!$B$29*C31/360*F31</f>
        <v/>
      </c>
      <c r="F31" s="26" t="n">
        <v>1</v>
      </c>
      <c r="G31" s="21">
        <f>IF(A31=Assumptions!$B$23,D31,0)</f>
        <v/>
      </c>
      <c r="H31" s="21">
        <f>D31-G31</f>
        <v/>
      </c>
      <c r="I31" s="21">
        <f>E31+G31+IF(A31=Assumptions!$B$23,E9*Assumptions!$B$25,0)</f>
        <v/>
      </c>
    </row>
    <row r="32">
      <c r="A32" s="19" t="n">
        <v>18</v>
      </c>
      <c r="B32" s="24">
        <f>EDATE(Assumptions!$B$26,A32)</f>
        <v/>
      </c>
      <c r="C32" s="25">
        <f>B32-B31</f>
        <v/>
      </c>
      <c r="D32" s="21">
        <f>H31</f>
        <v/>
      </c>
      <c r="E32" s="21">
        <f>D32*Assumptions!$B$29*C32/360*F32</f>
        <v/>
      </c>
      <c r="F32" s="26" t="n">
        <v>1</v>
      </c>
      <c r="G32" s="21">
        <f>IF(A32=Assumptions!$B$23,D32,0)</f>
        <v/>
      </c>
      <c r="H32" s="21">
        <f>D32-G32</f>
        <v/>
      </c>
      <c r="I32" s="21">
        <f>E32+G32+IF(A32=Assumptions!$B$23,E9*Assumptions!$B$25,0)</f>
        <v/>
      </c>
    </row>
    <row r="33">
      <c r="A33" s="19" t="n">
        <v>19</v>
      </c>
      <c r="B33" s="24">
        <f>EDATE(Assumptions!$B$26,A33)</f>
        <v/>
      </c>
      <c r="C33" s="25">
        <f>B33-B32</f>
        <v/>
      </c>
      <c r="D33" s="21">
        <f>H32</f>
        <v/>
      </c>
      <c r="E33" s="21">
        <f>D33*Assumptions!$B$29*C33/360*F33</f>
        <v/>
      </c>
      <c r="F33" s="26" t="n">
        <v>1</v>
      </c>
      <c r="G33" s="21">
        <f>IF(A33=Assumptions!$B$23,D33,0)</f>
        <v/>
      </c>
      <c r="H33" s="21">
        <f>D33-G33</f>
        <v/>
      </c>
      <c r="I33" s="21">
        <f>E33+G33+IF(A33=Assumptions!$B$23,E9*Assumptions!$B$25,0)</f>
        <v/>
      </c>
    </row>
    <row r="34">
      <c r="A34" s="19" t="n">
        <v>20</v>
      </c>
      <c r="B34" s="24">
        <f>EDATE(Assumptions!$B$26,A34)</f>
        <v/>
      </c>
      <c r="C34" s="25">
        <f>B34-B33</f>
        <v/>
      </c>
      <c r="D34" s="21">
        <f>H33</f>
        <v/>
      </c>
      <c r="E34" s="21">
        <f>D34*Assumptions!$B$29*C34/360*F34</f>
        <v/>
      </c>
      <c r="F34" s="26" t="n">
        <v>1</v>
      </c>
      <c r="G34" s="21">
        <f>IF(A34=Assumptions!$B$23,D34,0)</f>
        <v/>
      </c>
      <c r="H34" s="21">
        <f>D34-G34</f>
        <v/>
      </c>
      <c r="I34" s="21">
        <f>E34+G34+IF(A34=Assumptions!$B$23,E9*Assumptions!$B$25,0)</f>
        <v/>
      </c>
    </row>
    <row r="35">
      <c r="A35" s="19" t="n">
        <v>21</v>
      </c>
      <c r="B35" s="24">
        <f>EDATE(Assumptions!$B$26,A35)</f>
        <v/>
      </c>
      <c r="C35" s="25">
        <f>B35-B34</f>
        <v/>
      </c>
      <c r="D35" s="21">
        <f>H34</f>
        <v/>
      </c>
      <c r="E35" s="21">
        <f>D35*Assumptions!$B$29*C35/360*F35</f>
        <v/>
      </c>
      <c r="F35" s="26" t="n">
        <v>1</v>
      </c>
      <c r="G35" s="21">
        <f>IF(A35=Assumptions!$B$23,D35,0)</f>
        <v/>
      </c>
      <c r="H35" s="21">
        <f>D35-G35</f>
        <v/>
      </c>
      <c r="I35" s="21">
        <f>E35+G35+IF(A35=Assumptions!$B$23,E9*Assumptions!$B$25,0)</f>
        <v/>
      </c>
    </row>
    <row r="36">
      <c r="A36" s="19" t="n">
        <v>22</v>
      </c>
      <c r="B36" s="24">
        <f>EDATE(Assumptions!$B$26,A36)</f>
        <v/>
      </c>
      <c r="C36" s="25">
        <f>B36-B35</f>
        <v/>
      </c>
      <c r="D36" s="21">
        <f>H35</f>
        <v/>
      </c>
      <c r="E36" s="21">
        <f>D36*Assumptions!$B$29*C36/360*F36</f>
        <v/>
      </c>
      <c r="F36" s="26" t="n">
        <v>1</v>
      </c>
      <c r="G36" s="21">
        <f>IF(A36=Assumptions!$B$23,D36,0)</f>
        <v/>
      </c>
      <c r="H36" s="21">
        <f>D36-G36</f>
        <v/>
      </c>
      <c r="I36" s="21">
        <f>E36+G36+IF(A36=Assumptions!$B$23,E9*Assumptions!$B$25,0)</f>
        <v/>
      </c>
    </row>
    <row r="37">
      <c r="A37" s="19" t="n">
        <v>23</v>
      </c>
      <c r="B37" s="24">
        <f>EDATE(Assumptions!$B$26,A37)</f>
        <v/>
      </c>
      <c r="C37" s="25">
        <f>B37-B36</f>
        <v/>
      </c>
      <c r="D37" s="21">
        <f>H36</f>
        <v/>
      </c>
      <c r="E37" s="21">
        <f>D37*Assumptions!$B$29*C37/360*F37</f>
        <v/>
      </c>
      <c r="F37" s="26" t="n">
        <v>1</v>
      </c>
      <c r="G37" s="21">
        <f>IF(A37=Assumptions!$B$23,D37,0)</f>
        <v/>
      </c>
      <c r="H37" s="21">
        <f>D37-G37</f>
        <v/>
      </c>
      <c r="I37" s="21">
        <f>E37+G37+IF(A37=Assumptions!$B$23,E9*Assumptions!$B$25,0)</f>
        <v/>
      </c>
    </row>
    <row r="38">
      <c r="A38" s="19" t="n">
        <v>24</v>
      </c>
      <c r="B38" s="24">
        <f>EDATE(Assumptions!$B$26,A38)</f>
        <v/>
      </c>
      <c r="C38" s="25">
        <f>B38-B37</f>
        <v/>
      </c>
      <c r="D38" s="21">
        <f>H37</f>
        <v/>
      </c>
      <c r="E38" s="21">
        <f>D38*Assumptions!$B$29*C38/360*F38</f>
        <v/>
      </c>
      <c r="F38" s="26" t="n">
        <v>1</v>
      </c>
      <c r="G38" s="21">
        <f>IF(A38=Assumptions!$B$23,D38,0)</f>
        <v/>
      </c>
      <c r="H38" s="21">
        <f>D38-G38</f>
        <v/>
      </c>
      <c r="I38" s="21">
        <f>E38+G38+IF(A38=Assumptions!$B$23,E9*Assumptions!$B$25,0)</f>
        <v/>
      </c>
    </row>
    <row r="39">
      <c r="A39" s="19" t="n">
        <v>25</v>
      </c>
      <c r="B39" s="24">
        <f>EDATE(Assumptions!$B$26,A39)</f>
        <v/>
      </c>
      <c r="C39" s="25">
        <f>B39-B38</f>
        <v/>
      </c>
      <c r="D39" s="21">
        <f>H38</f>
        <v/>
      </c>
      <c r="E39" s="21">
        <f>D39*Assumptions!$B$29*C39/360*F39</f>
        <v/>
      </c>
      <c r="F39" s="26" t="n">
        <v>1</v>
      </c>
      <c r="G39" s="21">
        <f>IF(A39=Assumptions!$B$23,D39,0)</f>
        <v/>
      </c>
      <c r="H39" s="21">
        <f>D39-G39</f>
        <v/>
      </c>
      <c r="I39" s="21">
        <f>E39+G39+IF(A39=Assumptions!$B$23,E9*Assumptions!$B$25,0)</f>
        <v/>
      </c>
    </row>
    <row r="40">
      <c r="A40" s="19" t="n">
        <v>26</v>
      </c>
      <c r="B40" s="24">
        <f>EDATE(Assumptions!$B$26,A40)</f>
        <v/>
      </c>
      <c r="C40" s="25">
        <f>B40-B39</f>
        <v/>
      </c>
      <c r="D40" s="21">
        <f>H39</f>
        <v/>
      </c>
      <c r="E40" s="21">
        <f>D40*Assumptions!$B$29*C40/360*F40</f>
        <v/>
      </c>
      <c r="F40" s="26" t="n">
        <v>1</v>
      </c>
      <c r="G40" s="21">
        <f>IF(A40=Assumptions!$B$23,D40,0)</f>
        <v/>
      </c>
      <c r="H40" s="21">
        <f>D40-G40</f>
        <v/>
      </c>
      <c r="I40" s="21">
        <f>E40+G40+IF(A40=Assumptions!$B$23,E9*Assumptions!$B$25,0)</f>
        <v/>
      </c>
    </row>
    <row r="41">
      <c r="A41" s="19" t="n">
        <v>27</v>
      </c>
      <c r="B41" s="24">
        <f>EDATE(Assumptions!$B$26,A41)</f>
        <v/>
      </c>
      <c r="C41" s="25">
        <f>B41-B40</f>
        <v/>
      </c>
      <c r="D41" s="21">
        <f>H40</f>
        <v/>
      </c>
      <c r="E41" s="21">
        <f>D41*Assumptions!$B$29*C41/360*F41</f>
        <v/>
      </c>
      <c r="F41" s="26" t="n">
        <v>1</v>
      </c>
      <c r="G41" s="21">
        <f>IF(A41=Assumptions!$B$23,D41,0)</f>
        <v/>
      </c>
      <c r="H41" s="21">
        <f>D41-G41</f>
        <v/>
      </c>
      <c r="I41" s="21">
        <f>E41+G41+IF(A41=Assumptions!$B$23,E9*Assumptions!$B$25,0)</f>
        <v/>
      </c>
    </row>
    <row r="42">
      <c r="A42" s="19" t="n">
        <v>28</v>
      </c>
      <c r="B42" s="24">
        <f>EDATE(Assumptions!$B$26,A42)</f>
        <v/>
      </c>
      <c r="C42" s="25">
        <f>B42-B41</f>
        <v/>
      </c>
      <c r="D42" s="21">
        <f>H41</f>
        <v/>
      </c>
      <c r="E42" s="21">
        <f>D42*Assumptions!$B$29*C42/360*F42</f>
        <v/>
      </c>
      <c r="F42" s="26" t="n">
        <v>1</v>
      </c>
      <c r="G42" s="21">
        <f>IF(A42=Assumptions!$B$23,D42,0)</f>
        <v/>
      </c>
      <c r="H42" s="21">
        <f>D42-G42</f>
        <v/>
      </c>
      <c r="I42" s="21">
        <f>E42+G42+IF(A42=Assumptions!$B$23,E9*Assumptions!$B$25,0)</f>
        <v/>
      </c>
    </row>
    <row r="43">
      <c r="A43" s="19" t="n">
        <v>29</v>
      </c>
      <c r="B43" s="24">
        <f>EDATE(Assumptions!$B$26,A43)</f>
        <v/>
      </c>
      <c r="C43" s="25">
        <f>B43-B42</f>
        <v/>
      </c>
      <c r="D43" s="21">
        <f>H42</f>
        <v/>
      </c>
      <c r="E43" s="21">
        <f>D43*Assumptions!$B$29*C43/360*F43</f>
        <v/>
      </c>
      <c r="F43" s="26" t="n">
        <v>1</v>
      </c>
      <c r="G43" s="21">
        <f>IF(A43=Assumptions!$B$23,D43,0)</f>
        <v/>
      </c>
      <c r="H43" s="21">
        <f>D43-G43</f>
        <v/>
      </c>
      <c r="I43" s="21">
        <f>E43+G43+IF(A43=Assumptions!$B$23,E9*Assumptions!$B$25,0)</f>
        <v/>
      </c>
    </row>
    <row r="44">
      <c r="A44" s="19" t="n">
        <v>30</v>
      </c>
      <c r="B44" s="24">
        <f>EDATE(Assumptions!$B$26,A44)</f>
        <v/>
      </c>
      <c r="C44" s="25">
        <f>B44-B43</f>
        <v/>
      </c>
      <c r="D44" s="21">
        <f>H43</f>
        <v/>
      </c>
      <c r="E44" s="21">
        <f>D44*Assumptions!$B$29*C44/360*F44</f>
        <v/>
      </c>
      <c r="F44" s="26" t="n">
        <v>1</v>
      </c>
      <c r="G44" s="21">
        <f>IF(A44=Assumptions!$B$23,D44,0)</f>
        <v/>
      </c>
      <c r="H44" s="21">
        <f>D44-G44</f>
        <v/>
      </c>
      <c r="I44" s="21">
        <f>E44+G44+IF(A44=Assumptions!$B$23,E9*Assumptions!$B$25,0)</f>
        <v/>
      </c>
    </row>
    <row r="45">
      <c r="A45" s="19" t="n">
        <v>31</v>
      </c>
      <c r="B45" s="24">
        <f>EDATE(Assumptions!$B$26,A45)</f>
        <v/>
      </c>
      <c r="C45" s="25">
        <f>B45-B44</f>
        <v/>
      </c>
      <c r="D45" s="21">
        <f>H44</f>
        <v/>
      </c>
      <c r="E45" s="21">
        <f>D45*Assumptions!$B$29*C45/360*F45</f>
        <v/>
      </c>
      <c r="F45" s="26" t="n">
        <v>1</v>
      </c>
      <c r="G45" s="21">
        <f>IF(A45=Assumptions!$B$23,D45,0)</f>
        <v/>
      </c>
      <c r="H45" s="21">
        <f>D45-G45</f>
        <v/>
      </c>
      <c r="I45" s="21">
        <f>E45+G45+IF(A45=Assumptions!$B$23,E9*Assumptions!$B$25,0)</f>
        <v/>
      </c>
    </row>
    <row r="46">
      <c r="A46" s="19" t="n">
        <v>32</v>
      </c>
      <c r="B46" s="24">
        <f>EDATE(Assumptions!$B$26,A46)</f>
        <v/>
      </c>
      <c r="C46" s="25">
        <f>B46-B45</f>
        <v/>
      </c>
      <c r="D46" s="21">
        <f>H45</f>
        <v/>
      </c>
      <c r="E46" s="21">
        <f>D46*Assumptions!$B$29*C46/360*F46</f>
        <v/>
      </c>
      <c r="F46" s="26" t="n">
        <v>1</v>
      </c>
      <c r="G46" s="21">
        <f>IF(A46=Assumptions!$B$23,D46,0)</f>
        <v/>
      </c>
      <c r="H46" s="21">
        <f>D46-G46</f>
        <v/>
      </c>
      <c r="I46" s="21">
        <f>E46+G46+IF(A46=Assumptions!$B$23,E9*Assumptions!$B$25,0)</f>
        <v/>
      </c>
    </row>
    <row r="47">
      <c r="A47" s="19" t="n">
        <v>33</v>
      </c>
      <c r="B47" s="24">
        <f>EDATE(Assumptions!$B$26,A47)</f>
        <v/>
      </c>
      <c r="C47" s="25">
        <f>B47-B46</f>
        <v/>
      </c>
      <c r="D47" s="21">
        <f>H46</f>
        <v/>
      </c>
      <c r="E47" s="21">
        <f>D47*Assumptions!$B$29*C47/360*F47</f>
        <v/>
      </c>
      <c r="F47" s="26" t="n">
        <v>1</v>
      </c>
      <c r="G47" s="21">
        <f>IF(A47=Assumptions!$B$23,D47,0)</f>
        <v/>
      </c>
      <c r="H47" s="21">
        <f>D47-G47</f>
        <v/>
      </c>
      <c r="I47" s="21">
        <f>E47+G47+IF(A47=Assumptions!$B$23,E9*Assumptions!$B$25,0)</f>
        <v/>
      </c>
    </row>
    <row r="48">
      <c r="A48" s="19" t="n">
        <v>34</v>
      </c>
      <c r="B48" s="24">
        <f>EDATE(Assumptions!$B$26,A48)</f>
        <v/>
      </c>
      <c r="C48" s="25">
        <f>B48-B47</f>
        <v/>
      </c>
      <c r="D48" s="21">
        <f>H47</f>
        <v/>
      </c>
      <c r="E48" s="21">
        <f>D48*Assumptions!$B$29*C48/360*F48</f>
        <v/>
      </c>
      <c r="F48" s="26" t="n">
        <v>1</v>
      </c>
      <c r="G48" s="21">
        <f>IF(A48=Assumptions!$B$23,D48,0)</f>
        <v/>
      </c>
      <c r="H48" s="21">
        <f>D48-G48</f>
        <v/>
      </c>
      <c r="I48" s="21">
        <f>E48+G48+IF(A48=Assumptions!$B$23,E9*Assumptions!$B$25,0)</f>
        <v/>
      </c>
    </row>
    <row r="49">
      <c r="A49" s="19" t="n">
        <v>35</v>
      </c>
      <c r="B49" s="24">
        <f>EDATE(Assumptions!$B$26,A49)</f>
        <v/>
      </c>
      <c r="C49" s="25">
        <f>B49-B48</f>
        <v/>
      </c>
      <c r="D49" s="21">
        <f>H48</f>
        <v/>
      </c>
      <c r="E49" s="21">
        <f>D49*Assumptions!$B$29*C49/360*F49</f>
        <v/>
      </c>
      <c r="F49" s="26" t="n">
        <v>1</v>
      </c>
      <c r="G49" s="21">
        <f>IF(A49=Assumptions!$B$23,D49,0)</f>
        <v/>
      </c>
      <c r="H49" s="21">
        <f>D49-G49</f>
        <v/>
      </c>
      <c r="I49" s="21">
        <f>E49+G49+IF(A49=Assumptions!$B$23,E9*Assumptions!$B$25,0)</f>
        <v/>
      </c>
    </row>
    <row r="50">
      <c r="A50" s="19" t="n">
        <v>36</v>
      </c>
      <c r="B50" s="24">
        <f>EDATE(Assumptions!$B$26,A50)</f>
        <v/>
      </c>
      <c r="C50" s="25">
        <f>B50-B49</f>
        <v/>
      </c>
      <c r="D50" s="21">
        <f>H49</f>
        <v/>
      </c>
      <c r="E50" s="21">
        <f>D50*Assumptions!$B$29*C50/360*F50</f>
        <v/>
      </c>
      <c r="F50" s="26" t="n">
        <v>1</v>
      </c>
      <c r="G50" s="21">
        <f>IF(A50=Assumptions!$B$23,D50,0)</f>
        <v/>
      </c>
      <c r="H50" s="21">
        <f>D50-G50</f>
        <v/>
      </c>
      <c r="I50" s="21">
        <f>E50+G50+IF(A50=Assumptions!$B$23,E9*Assumptions!$B$25,0)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22" customHeight="1">
      <c r="A1" s="4" t="inlineStr">
        <is>
          <t>Sensitivity — lender gross yield: SOFR x exit month</t>
        </is>
      </c>
    </row>
    <row r="4">
      <c r="A4" s="27" t="inlineStr">
        <is>
          <t>exit \ SOFR</t>
        </is>
      </c>
      <c r="B4" s="28" t="n">
        <v>0.035</v>
      </c>
      <c r="C4" s="28" t="n">
        <v>0.04</v>
      </c>
      <c r="D4" s="28" t="n">
        <v>0.045</v>
      </c>
      <c r="E4" s="28" t="n">
        <v>0.05</v>
      </c>
      <c r="F4" s="28" t="n">
        <v>0.055</v>
      </c>
    </row>
    <row r="5">
      <c r="A5" s="11" t="n">
        <v>24</v>
      </c>
      <c r="B5" s="13">
        <f>(B$4+Assumptions!$B$22)+(Assumptions!$B$24+Assumptions!$B$25)/($A5/12)</f>
        <v/>
      </c>
      <c r="C5" s="13">
        <f>(C$4+Assumptions!$B$22)+(Assumptions!$B$24+Assumptions!$B$25)/($A5/12)</f>
        <v/>
      </c>
      <c r="D5" s="13">
        <f>(D$4+Assumptions!$B$22)+(Assumptions!$B$24+Assumptions!$B$25)/($A5/12)</f>
        <v/>
      </c>
      <c r="E5" s="13">
        <f>(E$4+Assumptions!$B$22)+(Assumptions!$B$24+Assumptions!$B$25)/($A5/12)</f>
        <v/>
      </c>
      <c r="F5" s="13">
        <f>(F$4+Assumptions!$B$22)+(Assumptions!$B$24+Assumptions!$B$25)/($A5/12)</f>
        <v/>
      </c>
    </row>
    <row r="6">
      <c r="A6" s="11" t="n">
        <v>30</v>
      </c>
      <c r="B6" s="13">
        <f>(B$4+Assumptions!$B$22)+(Assumptions!$B$24+Assumptions!$B$25)/($A6/12)</f>
        <v/>
      </c>
      <c r="C6" s="13">
        <f>(C$4+Assumptions!$B$22)+(Assumptions!$B$24+Assumptions!$B$25)/($A6/12)</f>
        <v/>
      </c>
      <c r="D6" s="13">
        <f>(D$4+Assumptions!$B$22)+(Assumptions!$B$24+Assumptions!$B$25)/($A6/12)</f>
        <v/>
      </c>
      <c r="E6" s="13">
        <f>(E$4+Assumptions!$B$22)+(Assumptions!$B$24+Assumptions!$B$25)/($A6/12)</f>
        <v/>
      </c>
      <c r="F6" s="13">
        <f>(F$4+Assumptions!$B$22)+(Assumptions!$B$24+Assumptions!$B$25)/($A6/12)</f>
        <v/>
      </c>
    </row>
    <row r="7">
      <c r="A7" s="11" t="n">
        <v>36</v>
      </c>
      <c r="B7" s="13">
        <f>(B$4+Assumptions!$B$22)+(Assumptions!$B$24+Assumptions!$B$25)/($A7/12)</f>
        <v/>
      </c>
      <c r="C7" s="13">
        <f>(C$4+Assumptions!$B$22)+(Assumptions!$B$24+Assumptions!$B$25)/($A7/12)</f>
        <v/>
      </c>
      <c r="D7" s="13">
        <f>(D$4+Assumptions!$B$22)+(Assumptions!$B$24+Assumptions!$B$25)/($A7/12)</f>
        <v/>
      </c>
      <c r="E7" s="13">
        <f>(E$4+Assumptions!$B$22)+(Assumptions!$B$24+Assumptions!$B$25)/($A7/12)</f>
        <v/>
      </c>
      <c r="F7" s="13">
        <f>(F$4+Assumptions!$B$22)+(Assumptions!$B$24+Assumptions!$B$25)/($A7/12)</f>
        <v/>
      </c>
    </row>
    <row r="8">
      <c r="A8" s="11" t="n">
        <v>42</v>
      </c>
      <c r="B8" s="13">
        <f>(B$4+Assumptions!$B$22)+(Assumptions!$B$24+Assumptions!$B$25)/($A8/12)</f>
        <v/>
      </c>
      <c r="C8" s="13">
        <f>(C$4+Assumptions!$B$22)+(Assumptions!$B$24+Assumptions!$B$25)/($A8/12)</f>
        <v/>
      </c>
      <c r="D8" s="13">
        <f>(D$4+Assumptions!$B$22)+(Assumptions!$B$24+Assumptions!$B$25)/($A8/12)</f>
        <v/>
      </c>
      <c r="E8" s="13">
        <f>(E$4+Assumptions!$B$22)+(Assumptions!$B$24+Assumptions!$B$25)/($A8/12)</f>
        <v/>
      </c>
      <c r="F8" s="13">
        <f>(F$4+Assumptions!$B$22)+(Assumptions!$B$24+Assumptions!$B$25)/($A8/12)</f>
        <v/>
      </c>
    </row>
    <row r="9">
      <c r="A9" s="11" t="n">
        <v>48</v>
      </c>
      <c r="B9" s="13">
        <f>(B$4+Assumptions!$B$22)+(Assumptions!$B$24+Assumptions!$B$25)/($A9/12)</f>
        <v/>
      </c>
      <c r="C9" s="13">
        <f>(C$4+Assumptions!$B$22)+(Assumptions!$B$24+Assumptions!$B$25)/($A9/12)</f>
        <v/>
      </c>
      <c r="D9" s="13">
        <f>(D$4+Assumptions!$B$22)+(Assumptions!$B$24+Assumptions!$B$25)/($A9/12)</f>
        <v/>
      </c>
      <c r="E9" s="13">
        <f>(E$4+Assumptions!$B$22)+(Assumptions!$B$24+Assumptions!$B$25)/($A9/12)</f>
        <v/>
      </c>
      <c r="F9" s="13">
        <f>(F$4+Assumptions!$B$22)+(Assumptions!$B$24+Assumptions!$B$25)/($A9/12)</f>
        <v/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" customWidth="1" min="3" max="3"/>
    <col width="30" customWidth="1" min="4" max="4"/>
    <col width="18" customWidth="1" min="5" max="5"/>
  </cols>
  <sheetData>
    <row r="1" ht="22" customHeight="1">
      <c r="A1" s="4" t="inlineStr">
        <is>
          <t>Output — One-Page Credit Memo</t>
        </is>
      </c>
    </row>
    <row r="3">
      <c r="A3" s="5" t="inlineStr">
        <is>
          <t>DEAL SUMMARY</t>
        </is>
      </c>
      <c r="B3" s="6" t="n"/>
      <c r="D3" s="5" t="inlineStr">
        <is>
          <t>KEY METRICS &amp; RETURNS</t>
        </is>
      </c>
      <c r="E3" s="6" t="n"/>
    </row>
    <row r="4">
      <c r="A4" s="19" t="inlineStr">
        <is>
          <t>Property</t>
        </is>
      </c>
      <c r="B4" s="26" t="inlineStr">
        <is>
          <t>Value-add light-industrial</t>
        </is>
      </c>
      <c r="D4" s="7" t="inlineStr">
        <is>
          <t>Annual debt service (IO)</t>
        </is>
      </c>
      <c r="E4" s="21">
        <f>Model!E9*Assumptions!$B$29</f>
        <v/>
      </c>
    </row>
    <row r="5">
      <c r="A5" s="19" t="inlineStr">
        <is>
          <t>As-stabilized value</t>
        </is>
      </c>
      <c r="B5" s="20">
        <f>Assumptions!$B$7</f>
        <v/>
      </c>
      <c r="D5" s="7" t="inlineStr">
        <is>
          <t>DSCR — in-place</t>
        </is>
      </c>
      <c r="E5" s="29">
        <f>Assumptions!$B$14/E4</f>
        <v/>
      </c>
    </row>
    <row r="6">
      <c r="A6" s="19" t="inlineStr">
        <is>
          <t>Total project cost</t>
        </is>
      </c>
      <c r="B6" s="20">
        <f>Assumptions!$B$8</f>
        <v/>
      </c>
      <c r="D6" s="7" t="inlineStr">
        <is>
          <t>DSCR — stabilized</t>
        </is>
      </c>
      <c r="E6" s="29">
        <f>Model!B10/E4</f>
        <v/>
      </c>
    </row>
    <row r="7">
      <c r="A7" s="19" t="inlineStr">
        <is>
          <t>Stabilized NOI</t>
        </is>
      </c>
      <c r="B7" s="20">
        <f>Model!B10</f>
        <v/>
      </c>
      <c r="D7" s="7" t="inlineStr">
        <is>
          <t>Debt yield — in-place</t>
        </is>
      </c>
      <c r="E7" s="13">
        <f>Assumptions!$B$14/Model!E9</f>
        <v/>
      </c>
    </row>
    <row r="8">
      <c r="A8" s="7" t="inlineStr">
        <is>
          <t>Loan amount</t>
        </is>
      </c>
      <c r="B8" s="20">
        <f>Model!E9</f>
        <v/>
      </c>
      <c r="D8" s="7" t="inlineStr">
        <is>
          <t>Debt yield — stabilized</t>
        </is>
      </c>
      <c r="E8" s="13">
        <f>Model!B10/Model!E9</f>
        <v/>
      </c>
    </row>
    <row r="9">
      <c r="A9" s="19" t="inlineStr">
        <is>
          <t>Binding constraint</t>
        </is>
      </c>
      <c r="B9" s="30">
        <f>Model!E10</f>
        <v/>
      </c>
      <c r="D9" s="7" t="inlineStr">
        <is>
          <t>LTV (stabilized)</t>
        </is>
      </c>
      <c r="E9" s="13">
        <f>Model!E9/Assumptions!$B$7</f>
        <v/>
      </c>
    </row>
    <row r="10">
      <c r="A10" s="19" t="inlineStr">
        <is>
          <t>All-in rate</t>
        </is>
      </c>
      <c r="B10" s="31">
        <f>Assumptions!$B$29</f>
        <v/>
      </c>
      <c r="D10" s="7" t="inlineStr">
        <is>
          <t>LTC</t>
        </is>
      </c>
      <c r="E10" s="13">
        <f>Model!E9/Assumptions!$B$8</f>
        <v/>
      </c>
    </row>
    <row r="11">
      <c r="D11" s="7" t="inlineStr">
        <is>
          <t>Lender XIRR (gross)</t>
        </is>
      </c>
      <c r="E11" s="13">
        <f>XIRR(Model!I14:I50,Model!B14:B50,0.1)</f>
        <v/>
      </c>
    </row>
    <row r="12">
      <c r="D12" s="7" t="inlineStr">
        <is>
          <t>Lender MOIC</t>
        </is>
      </c>
      <c r="E12" s="29">
        <f>SUM(Model!I15:I50)/-Model!I14</f>
        <v/>
      </c>
    </row>
    <row r="13">
      <c r="A13" s="5" t="inlineStr">
        <is>
          <t>CHECKS</t>
        </is>
      </c>
      <c r="B13" s="6" t="n"/>
      <c r="C13" s="6" t="n"/>
    </row>
    <row r="14">
      <c r="A14" s="19" t="inlineStr">
        <is>
          <t>Loan = MIN(constraints)</t>
        </is>
      </c>
      <c r="C14" s="32">
        <f>IF(ABS(Model!E9-MIN(Model!E5,Model!E6,Model!E7,Model!E8))&lt;1,"OK","FAIL")</f>
        <v/>
      </c>
    </row>
    <row r="15">
      <c r="A15" s="19" t="inlineStr">
        <is>
          <t>Principal repaid = loan</t>
        </is>
      </c>
      <c r="C15" s="32">
        <f>IF(ABS(SUM(Model!G15:G50)-Model!E9)&lt;1,"OK","FAIL")</f>
        <v/>
      </c>
    </row>
    <row r="16">
      <c r="A16" s="19" t="inlineStr">
        <is>
          <t>Ending balance at payoff = 0</t>
        </is>
      </c>
      <c r="C16" s="32">
        <f>IF(ABS(Model!H50)&lt;1,"OK","FAIL")</f>
        <v/>
      </c>
    </row>
    <row r="17">
      <c r="A17" s="19" t="inlineStr">
        <is>
          <t>DSCR stabilized &gt;= min</t>
        </is>
      </c>
      <c r="C17" s="32">
        <f>IF(E6&gt;=Assumptions!$B$18-0.001,"OK","FAIL")</f>
        <v/>
      </c>
    </row>
    <row r="18">
      <c r="A18" s="19" t="inlineStr">
        <is>
          <t>Debt yield stab &gt;= floor</t>
        </is>
      </c>
      <c r="C18" s="32">
        <f>IF(E8&gt;=Assumptions!$B$19-0.0001,"OK","FAIL")</f>
        <v/>
      </c>
    </row>
    <row r="19">
      <c r="A19" s="19" t="inlineStr">
        <is>
          <t>Lender XIRR &gt; note rate</t>
        </is>
      </c>
      <c r="C19" s="32">
        <f>IF(E11&gt;Assumptions!$B$29,"OK","FAIL")</f>
        <v/>
      </c>
    </row>
  </sheetData>
  <mergeCells count="1">
    <mergeCell ref="A1:E1"/>
  </mergeCells>
  <conditionalFormatting sqref="C14:C19">
    <cfRule type="expression" priority="1" dxfId="0">
      <formula>EXACT(C14,"OK")</formula>
    </cfRule>
    <cfRule type="expression" priority="2" dxfId="1">
      <formula>EXACT(C14,"FAIL")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4" t="inlineStr">
        <is>
          <t>Self-Check — should read 'OK correct'</t>
        </is>
      </c>
    </row>
    <row r="3">
      <c r="A3" s="22" t="inlineStr">
        <is>
          <t>Task</t>
        </is>
      </c>
      <c r="B3" s="22" t="inlineStr">
        <is>
          <t>Your cell</t>
        </is>
      </c>
      <c r="C3" s="22" t="inlineStr">
        <is>
          <t>(expected)</t>
        </is>
      </c>
      <c r="D3" s="22" t="inlineStr">
        <is>
          <t>Result</t>
        </is>
      </c>
    </row>
    <row r="4">
      <c r="A4" s="19" t="inlineStr">
        <is>
          <t>Stabilized NOI</t>
        </is>
      </c>
      <c r="C4" s="33" t="n">
        <v>3190560</v>
      </c>
      <c r="D4" s="19">
        <f>IF(ABS(Model!B10-C4)&lt;=1,"OK correct","keep working")</f>
        <v/>
      </c>
    </row>
    <row r="5">
      <c r="A5" s="19" t="inlineStr">
        <is>
          <t>Loan (binding)</t>
        </is>
      </c>
      <c r="C5" s="33" t="n">
        <v>30550000</v>
      </c>
      <c r="D5" s="19">
        <f>IF(ABS(Model!E9-C5)&lt;=1,"OK correct","keep working")</f>
        <v/>
      </c>
    </row>
    <row r="6">
      <c r="A6" s="19" t="inlineStr">
        <is>
          <t>DSCR — stabilized</t>
        </is>
      </c>
      <c r="C6" s="33" t="n">
        <v>1.383276</v>
      </c>
      <c r="D6" s="19">
        <f>IF(ABS(Output!E6-C6)&lt;=0.001,"OK correct","keep working")</f>
        <v/>
      </c>
    </row>
    <row r="7">
      <c r="A7" s="19" t="inlineStr">
        <is>
          <t>Debt yield — stabilized</t>
        </is>
      </c>
      <c r="C7" s="33" t="n">
        <v>0.104437</v>
      </c>
      <c r="D7" s="19">
        <f>IF(ABS(Output!E8-C7)&lt;=0.0001,"OK correct","keep working")</f>
        <v/>
      </c>
    </row>
    <row r="8">
      <c r="A8" s="19" t="inlineStr">
        <is>
          <t>LTC</t>
        </is>
      </c>
      <c r="C8" s="33" t="n">
        <v>0.65</v>
      </c>
      <c r="D8" s="19">
        <f>IF(ABS(Output!E10-C8)&lt;=0.0001,"OK correct","keep working")</f>
        <v/>
      </c>
    </row>
    <row r="9">
      <c r="A9" s="19" t="inlineStr">
        <is>
          <t>Lender XIRR</t>
        </is>
      </c>
      <c r="C9" s="33" t="n">
        <v>0.084927</v>
      </c>
      <c r="D9" s="19">
        <f>IF(ABS(Output!E11-C9)&lt;=0.002,"OK correct","keep working")</f>
        <v/>
      </c>
    </row>
    <row r="10">
      <c r="A10" s="19" t="inlineStr">
        <is>
          <t>Sensitivity (4.5%,36)</t>
        </is>
      </c>
      <c r="C10" s="33" t="n">
        <v>0.0825</v>
      </c>
      <c r="D10" s="19">
        <f>IF(ABS(Sensitivity!D7-C10)&lt;=0.0005,"OK correct","keep working")</f>
        <v/>
      </c>
    </row>
  </sheetData>
  <mergeCells count="1">
    <mergeCell ref="A1:D1"/>
  </mergeCells>
  <conditionalFormatting sqref="D4:D10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4" t="inlineStr">
        <is>
          <t>Solution Notes — expected results (computed independently)</t>
        </is>
      </c>
    </row>
    <row r="3">
      <c r="A3" s="22" t="inlineStr">
        <is>
          <t>Task</t>
        </is>
      </c>
      <c r="B3" s="22" t="inlineStr">
        <is>
          <t>Expected</t>
        </is>
      </c>
      <c r="C3" s="22" t="inlineStr">
        <is>
          <t>Explanation</t>
        </is>
      </c>
    </row>
    <row r="4" ht="32" customHeight="1">
      <c r="A4" s="34" t="inlineStr">
        <is>
          <t>Stabilized NOI</t>
        </is>
      </c>
      <c r="B4" s="35" t="inlineStr">
        <is>
          <t>$3,190,560</t>
        </is>
      </c>
      <c r="C4" s="35" t="inlineStr">
        <is>
          <t>GPR $4.8mm less 6% vacancy + $180k other, less 32% opex.</t>
        </is>
      </c>
    </row>
    <row r="5" ht="32" customHeight="1">
      <c r="A5" s="34" t="inlineStr">
        <is>
          <t>Loan (binding)</t>
        </is>
      </c>
      <c r="B5" s="35" t="inlineStr">
        <is>
          <t>$30,550,000</t>
        </is>
      </c>
      <c r="C5" s="35" t="inlineStr">
        <is>
          <t>MIN(65% LTC = $30.55mm, 65% LTV = $44.2mm, DSCR, debt yield) -&gt; LTC binds.</t>
        </is>
      </c>
    </row>
    <row r="6" ht="32" customHeight="1">
      <c r="A6" s="34" t="inlineStr">
        <is>
          <t>DSCR in-place / stab</t>
        </is>
      </c>
      <c r="B6" s="35" t="inlineStr">
        <is>
          <t>1.26x / 1.38x</t>
        </is>
      </c>
      <c r="C6" s="35" t="inlineStr">
        <is>
          <t>NOI / annual IO debt service.</t>
        </is>
      </c>
    </row>
    <row r="7" ht="32" customHeight="1">
      <c r="A7" s="34" t="inlineStr">
        <is>
          <t>Debt yield in-place / stab</t>
        </is>
      </c>
      <c r="B7" s="35" t="inlineStr">
        <is>
          <t>9.49% / 10.44%</t>
        </is>
      </c>
      <c r="C7" s="35" t="inlineStr">
        <is>
          <t>NOI / loan.</t>
        </is>
      </c>
    </row>
    <row r="8" ht="32" customHeight="1">
      <c r="A8" s="34" t="inlineStr">
        <is>
          <t>LTV / LTC</t>
        </is>
      </c>
      <c r="B8" s="35" t="inlineStr">
        <is>
          <t>44.9% / 65.0%</t>
        </is>
      </c>
      <c r="C8" s="35" t="inlineStr">
        <is>
          <t>Loan / value, loan / cost.</t>
        </is>
      </c>
    </row>
    <row r="9" ht="32" customHeight="1">
      <c r="A9" s="34" t="inlineStr">
        <is>
          <t>Lender XIRR / MOIC</t>
        </is>
      </c>
      <c r="B9" s="35" t="inlineStr">
        <is>
          <t>8.49% / 1.247x</t>
        </is>
      </c>
      <c r="C9" s="35" t="inlineStr">
        <is>
          <t>Act/360 interest + 1% orig + 0.5% exit, 36-mo IO, par payoff.</t>
        </is>
      </c>
    </row>
    <row r="10" ht="32" customHeight="1">
      <c r="A10" s="34" t="inlineStr">
        <is>
          <t>Sensitivity (4.5%,36)</t>
        </is>
      </c>
      <c r="B10" s="35" t="inlineStr">
        <is>
          <t>8.25%</t>
        </is>
      </c>
      <c r="C10" s="35" t="inlineStr">
        <is>
          <t>(4.5%+3.25%) + (1%+0.5%)/3 = 7.75% + 0.5%.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2026-06-18T16:06:57Z</dcterms:created>
  <dcterms:modified xsi:type="dcterms:W3CDTF">2026-06-18T16:06:57Z</dcterms:modified>
</cp:coreProperties>
</file>